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<sst xmlns="http://schemas.openxmlformats.org/spreadsheetml/2006/main" count="1868" uniqueCount="664">
  <si>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</si>
  <si>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</si>
  <si>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</si>
  <si>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</si>
  <si>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</si>
  <si>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</si>
  <si>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</si>
  <si>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</si>
  <si>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</si>
  <si>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</si>
  <si>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</si>
  <si>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</si>
  <si>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</si>
  <si>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</si>
  <si>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</si>
  <si>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</si>
  <si>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</si>
  <si>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</si>
  <si>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</si>
  <si>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</si>
  <si>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</si>
  <si>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</si>
  <si>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</si>
  <si>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</si>
  <si>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</si>
  <si>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</si>
  <si>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</si>
  <si>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</si>
  <si>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</si>
  <si>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</si>
  <si>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</si>
  <si>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</si>
  <si>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</si>
  <si>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</si>
  <si>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</si>
  <si>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</si>
  <si>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</si>
  <si>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</si>
  <si>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</si>
  <si>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</si>
  <si>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</si>
  <si>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</si>
  <si>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</si>
  <si>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</si>
  <si>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</si>
  <si>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</si>
  <si>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</si>
  <si>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</si>
  <si>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</si>
  <si>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</si>
  <si>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</si>
  <si>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</si>
  <si>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</si>
  <si>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</si>
  <si>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</si>
  <si>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</si>
  <si>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</si>
  <si>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</si>
  <si>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</si>
  <si>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</si>
  <si>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</si>
  <si>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</si>
  <si>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</si>
  <si>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</si>
  <si>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</si>
  <si>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</si>
  <si>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</si>
  <si>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</si>
  <si>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</si>
  <si>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</si>
  <si>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</si>
  <si>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</si>
  <si>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</si>
  <si>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</si>
  <si>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</si>
  <si>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</si>
  <si>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</si>
  <si>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</si>
  <si>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</si>
  <si>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</si>
  <si>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</si>
  <si>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</si>
  <si>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</si>
  <si>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</si>
  <si>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</si>
  <si>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</si>
  <si>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</si>
  <si>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</si>
  <si>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</si>
  <si>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</si>
  <si>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</si>
  <si>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</si>
  <si>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</si>
  <si>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</si>
  <si>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</si>
  <si>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</si>
  <si>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</si>
  <si>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</si>
  <si>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</si>
  <si>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</si>
  <si>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</si>
  <si>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</si>
  <si>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</si>
  <si>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</si>
  <si>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</si>
  <si>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</si>
  <si>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</si>
  <si>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</si>
  <si>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</si>
  <si>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</si>
  <si>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</si>
  <si>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</si>
  <si>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</si>
  <si>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</si>
  <si>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</si>
  <si>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</si>
  <si>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</si>
  <si>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</si>
  <si>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</si>
  <si>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</si>
  <si>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</si>
  <si>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</si>
  <si>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</si>
  <si>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</si>
  <si>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</si>
  <si>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</si>
  <si>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</si>
  <si>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</si>
  <si>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</si>
  <si>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</si>
  <si>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</si>
  <si>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</si>
  <si>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</si>
  <si>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</si>
  <si>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</si>
  <si>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</si>
  <si>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</si>
  <si>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</si>
  <si>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</si>
  <si>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</si>
  <si>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</si>
  <si>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</si>
  <si>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</si>
  <si>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</si>
  <si>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</si>
  <si>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</si>
  <si>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</si>
  <si>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</si>
  <si>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</si>
  <si>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</si>
  <si>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</si>
  <si>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</si>
  <si>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</si>
  <si>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</si>
  <si>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</si>
  <si>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</si>
  <si>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</si>
  <si>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</si>
  <si>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</si>
  <si>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</si>
  <si>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</si>
  <si>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</si>
  <si>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</si>
  <si>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</si>
  <si>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</si>
  <si>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</si>
  <si>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</si>
  <si>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</si>
  <si>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</si>
  <si>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</si>
  <si>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</si>
  <si>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</si>
  <si>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</si>
  <si>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</si>
  <si>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</si>
  <si>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</si>
  <si>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</si>
  <si>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</si>
  <si>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</si>
  <si>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</si>
  <si>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</si>
  <si>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</si>
  <si>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</si>
  <si>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</si>
  <si>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</si>
  <si>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</si>
  <si>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</si>
  <si>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</si>
  <si>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</si>
  <si>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</si>
  <si>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</si>
  <si>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</si>
  <si>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</si>
  <si>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</si>
  <si>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</si>
  <si>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</si>
  <si>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</si>
  <si>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</si>
  <si>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</si>
  <si>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</si>
  <si>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</si>
  <si>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</si>
  <si>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</si>
  <si>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</si>
  <si>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</si>
  <si>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</si>
  <si>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</si>
  <si>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</si>
  <si>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</si>
  <si>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</si>
  <si>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</si>
  <si>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</si>
  <si>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</si>
  <si>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</si>
  <si>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</si>
  <si>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</si>
  <si>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</si>
  <si>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</si>
  <si>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</si>
  <si>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</si>
  <si>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</si>
  <si>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</si>
  <si>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</si>
  <si>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</si>
  <si>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</si>
  <si>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</si>
  <si>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</si>
  <si>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</si>
  <si>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</si>
  <si>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</si>
  <si>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</si>
  <si>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</si>
  <si>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</si>
  <si>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</si>
  <si>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</si>
  <si>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</si>
  <si>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</si>
  <si>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</si>
  <si>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</si>
  <si>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</si>
  <si>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</si>
  <si>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</si>
  <si>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</si>
  <si>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</si>
  <si>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</si>
  <si>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</si>
  <si>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</si>
  <si>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</si>
  <si>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</si>
  <si>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</si>
  <si>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</si>
  <si>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</si>
  <si>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</si>
  <si>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</si>
  <si>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</si>
  <si>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</si>
  <si>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</si>
  <si>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</si>
  <si>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</si>
  <si>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</si>
  <si>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</si>
  <si>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</si>
  <si>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</si>
  <si>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</si>
  <si>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</si>
  <si>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</si>
  <si>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</si>
  <si>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</si>
  <si>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</si>
  <si>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</si>
  <si>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</si>
  <si>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</si>
  <si>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</si>
  <si>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</si>
  <si>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</si>
  <si>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</si>
  <si>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</si>
  <si>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</si>
  <si>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</si>
  <si>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</si>
  <si>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</si>
  <si>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</si>
  <si>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</si>
  <si>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</si>
  <si>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</si>
  <si>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</si>
  <si>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</si>
  <si>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</si>
  <si>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</si>
  <si>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</si>
  <si>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</si>
  <si>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</si>
  <si>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</si>
  <si>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</si>
  <si>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</si>
  <si>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</si>
  <si>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</si>
  <si>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</si>
  <si>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</si>
  <si>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</si>
  <si>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</si>
  <si>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</si>
  <si>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</si>
  <si>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</si>
  <si>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</si>
  <si>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</si>
  <si>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</si>
  <si>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</si>
  <si>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</si>
  <si>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</si>
  <si>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</si>
  <si>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</si>
  <si>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</si>
  <si>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</si>
  <si>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</si>
  <si>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</si>
  <si>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</si>
  <si>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</si>
  <si>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</si>
  <si>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</si>
  <si>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</si>
  <si>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</si>
  <si>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</si>
  <si>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</si>
  <si>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</si>
  <si>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</si>
  <si>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</si>
  <si>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</si>
  <si>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</si>
  <si>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</si>
  <si>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</si>
  <si>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</si>
  <si>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</si>
  <si>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</si>
  <si>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</si>
  <si>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</si>
  <si>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</si>
  <si>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</si>
  <si>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</si>
  <si>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</si>
  <si>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</si>
  <si>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</si>
  <si>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</si>
  <si>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</si>
  <si>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</si>
  <si>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</si>
  <si>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</si>
  <si>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</si>
  <si>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</si>
  <si>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</si>
  <si>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</si>
  <si>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</si>
  <si>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</si>
  <si>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</si>
  <si>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</si>
  <si>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</si>
  <si>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</si>
  <si>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</si>
  <si>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</si>
  <si>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</si>
  <si>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</si>
  <si>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</si>
  <si>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</si>
  <si>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</si>
  <si>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</si>
  <si>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</si>
  <si>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</si>
  <si>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</si>
  <si>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</si>
  <si>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</si>
  <si>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</si>
  <si>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</si>
  <si>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</si>
  <si>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</si>
  <si>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</si>
  <si>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</si>
  <si>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</si>
  <si>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</si>
  <si>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</si>
  <si>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</si>
  <si>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</si>
  <si>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</si>
  <si>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</si>
  <si>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</si>
  <si>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</si>
  <si>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</si>
  <si>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</si>
  <si>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</si>
  <si>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</si>
  <si>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</si>
  <si>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</si>
  <si>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</si>
  <si>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</si>
  <si>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</si>
  <si>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</si>
  <si>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</si>
  <si>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</si>
  <si>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</si>
  <si>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</si>
  <si>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</si>
  <si>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</si>
  <si>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</si>
  <si>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</si>
  <si>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</si>
  <si>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</si>
  <si>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</si>
  <si>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</si>
  <si>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</si>
  <si>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</si>
  <si>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</si>
  <si>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</si>
  <si>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</si>
  <si>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</si>
  <si>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</si>
  <si>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</si>
  <si>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</si>
  <si>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</si>
  <si>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</si>
  <si>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</si>
  <si>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</si>
  <si>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</si>
  <si>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</si>
  <si>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</si>
  <si>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</si>
  <si>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</si>
  <si>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</si>
  <si>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</si>
  <si>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</si>
  <si>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</si>
  <si>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</si>
  <si>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</si>
  <si>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</si>
  <si>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</si>
  <si>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</si>
  <si>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</si>
  <si>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</si>
  <si>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</si>
  <si>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</si>
  <si>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</si>
  <si>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</si>
  <si>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</si>
  <si>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</si>
  <si>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</si>
  <si>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</si>
  <si>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</si>
  <si>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</si>
  <si>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</si>
  <si>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</si>
  <si>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</si>
  <si>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</si>
  <si>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</si>
  <si>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</si>
  <si>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</si>
  <si>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</si>
  <si>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</si>
  <si>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</si>
  <si>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</si>
  <si>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</si>
  <si>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</si>
  <si>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</si>
  <si>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</si>
  <si>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</si>
  <si>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</si>
  <si>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</si>
  <si>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</si>
  <si>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</si>
  <si>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</si>
  <si>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</si>
  <si>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</si>
  <si>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</si>
  <si>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</si>
  <si>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</si>
  <si>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</si>
  <si>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</si>
  <si>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</si>
  <si>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</si>
  <si>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</si>
  <si>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</si>
  <si>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</si>
  <si>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</si>
  <si>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</si>
  <si>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</si>
  <si>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</si>
  <si>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</si>
  <si>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</si>
  <si>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</si>
  <si>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</si>
  <si>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</si>
  <si>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</si>
  <si>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</si>
  <si>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</si>
  <si>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</si>
  <si>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</si>
  <si>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</si>
  <si>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</si>
  <si>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</si>
  <si>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</si>
  <si>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</si>
  <si>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</si>
  <si>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</si>
  <si>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</si>
  <si>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</si>
  <si>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</si>
  <si>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</si>
  <si>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</si>
  <si>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</si>
  <si>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</si>
  <si>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</si>
  <si>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</si>
  <si>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</si>
  <si>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</si>
  <si>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</si>
  <si>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</si>
  <si>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</si>
  <si>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</si>
  <si>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</si>
  <si>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</si>
  <si>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</si>
  <si>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</si>
  <si>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</si>
  <si>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</si>
  <si>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</si>
  <si>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</si>
  <si>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</si>
  <si>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</si>
  <si>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</si>
  <si>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</si>
  <si>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</si>
  <si>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</si>
  <si>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</si>
  <si>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</si>
  <si>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</si>
  <si>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</si>
  <si>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</si>
  <si>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</si>
  <si>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</si>
  <si>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</si>
  <si>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</si>
  <si>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</si>
  <si>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</si>
  <si>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</si>
  <si>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</si>
  <si>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</si>
  <si>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</si>
  <si>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</si>
  <si>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</si>
  <si>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</si>
  <si>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</si>
  <si>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</si>
  <si>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</si>
  <si>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</si>
  <si>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</si>
  <si>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</si>
  <si>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</si>
  <si>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</si>
  <si>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</si>
  <si>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</si>
  <si>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</si>
  <si>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</si>
  <si>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</si>
  <si>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</si>
  <si>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</si>
  <si>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</si>
  <si>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</si>
  <si>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</si>
  <si>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</si>
  <si>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</si>
  <si>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</si>
  <si>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</si>
  <si>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</si>
  <si>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</si>
  <si>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</si>
  <si>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</si>
  <si>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</si>
  <si>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</si>
  <si>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</si>
  <si>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</si>
  <si>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</si>
  <si>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</si>
  <si>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</si>
  <si>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</si>
  <si>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</si>
  <si>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</si>
  <si>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</si>
  <si>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</si>
  <si>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</si>
  <si>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</si>
  <si>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</si>
  <si>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</si>
  <si>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</si>
  <si>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</si>
  <si>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</si>
  <si>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</si>
  <si>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</si>
  <si>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</si>
  <si>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</si>
  <si>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</si>
  <si>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</si>
  <si>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</si>
  <si>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</si>
  <si>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</si>
  <si>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</si>
  <si>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</si>
  <si>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</si>
  <si>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</si>
  <si>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</si>
  <si>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</si>
  <si>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</si>
  <si>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</si>
  <si>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</si>
  <si>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</si>
  <si>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</si>
  <si>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</si>
  <si>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</si>
  <si>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</si>
  <si>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</si>
  <si>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</si>
  <si>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</si>
  <si>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</si>
  <si>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</si>
  <si>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</si>
  <si>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</si>
  <si>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</si>
  <si>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</si>
  <si>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</si>
  <si>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</si>
  <si>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</si>
  <si>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</si>
  <si>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</si>
  <si>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</si>
  <si>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</si>
  <si>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</si>
  <si>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</si>
  <si>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</si>
  <si>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</si>
  <si>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</si>
  <si>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</si>
  <si>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</si>
  <si>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</si>
  <si>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</si>
  <si>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</si>
  <si>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</si>
  <si>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</si>
  <si>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</si>
  <si>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</si>
  <si>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</si>
  <si>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</si>
  <si>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</si>
  <si>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</si>
  <si>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</si>
  <si>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</si>
  <si>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</si>
  <si>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</si>
  <si>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</si>
  <si>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</si>
  <si>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</si>
  <si>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</si>
  <si>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</si>
  <si>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</si>
  <si>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</si>
  <si>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</si>
  <si>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</si>
  <si>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</si>
  <si>
    <t>ГР. СОФИЯ, УЛ. Добруджа 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</si>
</sst>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43465</v>
      </c>
    </row>
    <row r="2" spans="1:27" ht="15.75">
      <c r="A2" s="420" t="s">
        <v>652</v>
      </c>
      <c r="B2" s="415"/>
      <c r="Z2" s="432">
        <v>2</v>
      </c>
      <c r="AA2" s="433">
        <f>IF(ISBLANK(_pdeReportingDate),"",_pdeReportingDate)</f>
        <v>43523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 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43101</v>
      </c>
    </row>
    <row r="10" spans="1:2" ht="15.75">
      <c r="A10" s="7" t="s">
        <v>2</v>
      </c>
      <c r="B10" s="313">
        <v>43465</v>
      </c>
    </row>
    <row r="11" spans="1:2" ht="15.75">
      <c r="A11" s="7" t="s">
        <v>640</v>
      </c>
      <c r="B11" s="313">
        <v>43523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663</v>
      </c>
    </row>
    <row r="20" spans="1:2" ht="15.75">
      <c r="A20" s="7" t="s">
        <v>5</v>
      </c>
      <c r="B20" s="312" t="s">
        <v>663</v>
      </c>
    </row>
    <row r="21" spans="1:2" ht="15.75">
      <c r="A21" s="10" t="s">
        <v>6</v>
      </c>
      <c r="B21" s="314" t="s">
        <v>658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659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661</v>
      </c>
    </row>
    <row r="26" spans="1:2" ht="15.75">
      <c r="A26" s="10" t="s">
        <v>633</v>
      </c>
      <c r="B26" s="314" t="s">
        <v>662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2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f>5873</f>
        <v>5873</v>
      </c>
      <c r="D12" s="119">
        <v>5873</v>
      </c>
      <c r="E12" s="66" t="s">
        <v>25</v>
      </c>
      <c r="F12" s="69" t="s">
        <v>26</v>
      </c>
      <c r="G12" s="119">
        <f>6011+5+10-5-10</f>
        <v>6011</v>
      </c>
      <c r="H12" s="118">
        <v>6011</v>
      </c>
    </row>
    <row r="13" spans="1:8" ht="15.75">
      <c r="A13" s="66" t="s">
        <v>27</v>
      </c>
      <c r="B13" s="68" t="s">
        <v>28</v>
      </c>
      <c r="C13" s="119">
        <v>324</v>
      </c>
      <c r="D13" s="119">
        <v>344</v>
      </c>
      <c r="E13" s="66" t="s">
        <v>525</v>
      </c>
      <c r="F13" s="69" t="s">
        <v>29</v>
      </c>
      <c r="G13" s="119">
        <f>6011+5+10-5-10</f>
        <v>6011</v>
      </c>
      <c r="H13" s="118">
        <v>6011</v>
      </c>
    </row>
    <row r="14" spans="1:8" ht="15.75">
      <c r="A14" s="66" t="s">
        <v>30</v>
      </c>
      <c r="B14" s="68" t="s">
        <v>31</v>
      </c>
      <c r="C14" s="119">
        <v>18</v>
      </c>
      <c r="D14" s="119">
        <v>18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</v>
      </c>
      <c r="D16" s="119">
        <v>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9">
        <v>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7073</v>
      </c>
      <c r="D18" s="119">
        <v>7073</v>
      </c>
      <c r="E18" s="246" t="s">
        <v>47</v>
      </c>
      <c r="F18" s="245" t="s">
        <v>48</v>
      </c>
      <c r="G18" s="344">
        <f>G12+G15+G16+G17</f>
        <v>6011</v>
      </c>
      <c r="H18" s="345">
        <f>H12+H15+H16+H17</f>
        <v>6011</v>
      </c>
    </row>
    <row r="19" spans="1:8" ht="15.75">
      <c r="A19" s="66" t="s">
        <v>49</v>
      </c>
      <c r="B19" s="68" t="s">
        <v>50</v>
      </c>
      <c r="C19" s="119">
        <v>100</v>
      </c>
      <c r="D19" s="119">
        <v>154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13390</v>
      </c>
      <c r="D20" s="333">
        <f>SUM(D12:D19)</f>
        <v>13477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25310</v>
      </c>
      <c r="D21" s="241">
        <v>26699</v>
      </c>
      <c r="E21" s="66" t="s">
        <v>58</v>
      </c>
      <c r="F21" s="69" t="s">
        <v>59</v>
      </c>
      <c r="G21" s="119">
        <v>5963</v>
      </c>
      <c r="H21" s="119">
        <f>848+5115</f>
        <v>5963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13615</v>
      </c>
      <c r="H26" s="333">
        <f>H20+H21+H22</f>
        <v>13615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-15460</v>
      </c>
      <c r="H28" s="331">
        <f>SUM(H29:H31)</f>
        <v>-15803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f>9426+343</f>
        <v>9769</v>
      </c>
      <c r="H29" s="118">
        <v>9426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v>-25229</v>
      </c>
      <c r="H30" s="118">
        <v>-25229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343</v>
      </c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v>-1762</v>
      </c>
      <c r="H33" s="118"/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-17222</v>
      </c>
      <c r="H34" s="333">
        <f>H28+H32+H33</f>
        <v>-15460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5+10-5-10</f>
        <v>0</v>
      </c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2404</v>
      </c>
      <c r="H37" s="335">
        <f>H26+H18+H34</f>
        <v>4166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16075</v>
      </c>
      <c r="H45" s="118">
        <v>16095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1454+1075</f>
        <v>2529</v>
      </c>
      <c r="H49" s="118">
        <f>873+1570</f>
        <v>2443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18604</v>
      </c>
      <c r="H50" s="331">
        <f>SUM(H44:H49)</f>
        <v>18538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>
        <v>447</v>
      </c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6">
        <f>C20+C21+C22+C28+C33+C46+C52+C54+C55</f>
        <v>38721</v>
      </c>
      <c r="D56" s="337">
        <f>D20+D21+D22+D28+D33+D46+D52+D54+D55</f>
        <v>40644</v>
      </c>
      <c r="E56" s="76" t="s">
        <v>529</v>
      </c>
      <c r="F56" s="75" t="s">
        <v>172</v>
      </c>
      <c r="G56" s="334">
        <f>G50+G52+G53+G54+G55</f>
        <v>18604</v>
      </c>
      <c r="H56" s="335">
        <f>H50+H52+H53+H54+H55</f>
        <v>18538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725</v>
      </c>
      <c r="D59" s="119">
        <v>706</v>
      </c>
      <c r="E59" s="123" t="s">
        <v>180</v>
      </c>
      <c r="F59" s="251" t="s">
        <v>181</v>
      </c>
      <c r="G59" s="119">
        <v>5372</v>
      </c>
      <c r="H59" s="119">
        <v>5159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360</v>
      </c>
      <c r="D61" s="119">
        <v>354</v>
      </c>
      <c r="E61" s="122" t="s">
        <v>188</v>
      </c>
      <c r="F61" s="69" t="s">
        <v>189</v>
      </c>
      <c r="G61" s="330">
        <f>SUM(G62:G68)</f>
        <v>7511</v>
      </c>
      <c r="H61" s="331">
        <f>SUM(H62:H68)</f>
        <v>8067</v>
      </c>
    </row>
    <row r="62" spans="1:13" ht="15.75">
      <c r="A62" s="66" t="s">
        <v>186</v>
      </c>
      <c r="B62" s="70" t="s">
        <v>187</v>
      </c>
      <c r="C62" s="119">
        <v>328</v>
      </c>
      <c r="D62" s="119">
        <v>328</v>
      </c>
      <c r="E62" s="122" t="s">
        <v>192</v>
      </c>
      <c r="F62" s="69" t="s">
        <v>193</v>
      </c>
      <c r="G62" s="119">
        <f>3126+2765+75-2987-2557-208-75</f>
        <v>139</v>
      </c>
      <c r="H62" s="118">
        <f>72+2702+2830-5486</f>
        <v>118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1126+512</f>
        <v>1638</v>
      </c>
      <c r="H64" s="118">
        <f>369+1446</f>
        <v>1815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1413</v>
      </c>
      <c r="D65" s="333">
        <f>SUM(D59:D64)</f>
        <v>1388</v>
      </c>
      <c r="E65" s="66" t="s">
        <v>201</v>
      </c>
      <c r="F65" s="69" t="s">
        <v>202</v>
      </c>
      <c r="G65" s="119">
        <f>4279+52</f>
        <v>4331</v>
      </c>
      <c r="H65" s="118">
        <f>182+5189</f>
        <v>5371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131+8+1</f>
        <v>140</v>
      </c>
      <c r="H66" s="118">
        <v>108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22+295+23</f>
        <v>340</v>
      </c>
      <c r="H67" s="118">
        <f>20+155+13</f>
        <v>188</v>
      </c>
    </row>
    <row r="68" spans="1:8" ht="15.75">
      <c r="A68" s="66" t="s">
        <v>206</v>
      </c>
      <c r="B68" s="68" t="s">
        <v>207</v>
      </c>
      <c r="C68" s="119">
        <f>2800+3063-2987-2557-208-76</f>
        <v>35</v>
      </c>
      <c r="D68" s="119"/>
      <c r="E68" s="66" t="s">
        <v>212</v>
      </c>
      <c r="F68" s="69" t="s">
        <v>213</v>
      </c>
      <c r="G68" s="119">
        <f>525+392+6</f>
        <v>923</v>
      </c>
      <c r="H68" s="118">
        <f>5+332+130</f>
        <v>467</v>
      </c>
    </row>
    <row r="69" spans="1:8" ht="15.75">
      <c r="A69" s="66" t="s">
        <v>210</v>
      </c>
      <c r="B69" s="68" t="s">
        <v>211</v>
      </c>
      <c r="C69" s="119">
        <f>3387+288+2</f>
        <v>3677</v>
      </c>
      <c r="D69" s="119">
        <f>125+3356</f>
        <v>3481</v>
      </c>
      <c r="E69" s="123" t="s">
        <v>79</v>
      </c>
      <c r="F69" s="69" t="s">
        <v>216</v>
      </c>
      <c r="G69" s="119">
        <f>11688+298+29-1</f>
        <v>12014</v>
      </c>
      <c r="H69" s="118">
        <v>11034</v>
      </c>
    </row>
    <row r="70" spans="1:8" ht="15.75">
      <c r="A70" s="66" t="s">
        <v>214</v>
      </c>
      <c r="B70" s="68" t="s">
        <v>215</v>
      </c>
      <c r="C70" s="119">
        <f>9+130</f>
        <v>139</v>
      </c>
      <c r="D70" s="119">
        <f>2+3</f>
        <v>5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24897</v>
      </c>
      <c r="H71" s="333">
        <f>H59+H60+H61+H69+H70</f>
        <v>24260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/>
      <c r="D73" s="119">
        <v>10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126+1011</f>
        <v>1137</v>
      </c>
      <c r="D75" s="119">
        <f>693+125</f>
        <v>818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4988</v>
      </c>
      <c r="D76" s="333">
        <f>SUM(D68:D75)</f>
        <v>4314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24897</v>
      </c>
      <c r="H79" s="335">
        <f>H71+H73+H75+H77</f>
        <v>24260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v>317</v>
      </c>
      <c r="D88" s="119">
        <f>4+135</f>
        <v>139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v>16</v>
      </c>
      <c r="D89" s="119">
        <v>5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>
        <v>2</v>
      </c>
      <c r="D90" s="119">
        <f>14+14</f>
        <v>28</v>
      </c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335</v>
      </c>
      <c r="D92" s="333">
        <f>SUM(D88:D91)</f>
        <v>172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v>448</v>
      </c>
      <c r="D93" s="243">
        <v>446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7184</v>
      </c>
      <c r="D94" s="337">
        <f>D65+D76+D85+D92+D93</f>
        <v>6320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45905</v>
      </c>
      <c r="D95" s="339">
        <f>D94+D56</f>
        <v>46964</v>
      </c>
      <c r="E95" s="150" t="s">
        <v>607</v>
      </c>
      <c r="F95" s="254" t="s">
        <v>268</v>
      </c>
      <c r="G95" s="338">
        <f>G37+G40+G56+G79</f>
        <v>45905</v>
      </c>
      <c r="H95" s="339">
        <f>H37+H40+H56+H79</f>
        <v>46964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>
        <f>pdeReportingDate</f>
        <v>43523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 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f>67+307</f>
        <v>374</v>
      </c>
      <c r="D12" s="234">
        <f>249+53</f>
        <v>302</v>
      </c>
      <c r="E12" s="116" t="s">
        <v>277</v>
      </c>
      <c r="F12" s="161" t="s">
        <v>278</v>
      </c>
      <c r="G12" s="234">
        <v>351</v>
      </c>
      <c r="H12" s="234">
        <v>211</v>
      </c>
    </row>
    <row r="13" spans="1:8" ht="15.75">
      <c r="A13" s="116" t="s">
        <v>279</v>
      </c>
      <c r="B13" s="112" t="s">
        <v>280</v>
      </c>
      <c r="C13" s="234">
        <f>457+593+5-357-275</f>
        <v>423</v>
      </c>
      <c r="D13" s="234">
        <f>4+1100+556-362-302-3</f>
        <v>993</v>
      </c>
      <c r="E13" s="116" t="s">
        <v>281</v>
      </c>
      <c r="F13" s="161" t="s">
        <v>282</v>
      </c>
      <c r="G13" s="234">
        <f>1357+37</f>
        <v>1394</v>
      </c>
      <c r="H13" s="234">
        <f>210+3364</f>
        <v>3574</v>
      </c>
    </row>
    <row r="14" spans="1:8" ht="15.75">
      <c r="A14" s="116" t="s">
        <v>283</v>
      </c>
      <c r="B14" s="112" t="s">
        <v>284</v>
      </c>
      <c r="C14" s="234">
        <f>54+39+1-4</f>
        <v>90</v>
      </c>
      <c r="D14" s="234">
        <f>63+54-4</f>
        <v>113</v>
      </c>
      <c r="E14" s="166" t="s">
        <v>285</v>
      </c>
      <c r="F14" s="161" t="s">
        <v>286</v>
      </c>
      <c r="G14" s="234">
        <f>357+1638+7-357-275</f>
        <v>1370</v>
      </c>
      <c r="H14" s="234">
        <f>3+1608+362-362-302-3</f>
        <v>1306</v>
      </c>
    </row>
    <row r="15" spans="1:8" ht="15.75">
      <c r="A15" s="116" t="s">
        <v>287</v>
      </c>
      <c r="B15" s="112" t="s">
        <v>288</v>
      </c>
      <c r="C15" s="234">
        <f>33+249+12</f>
        <v>294</v>
      </c>
      <c r="D15" s="234">
        <f>11+209+34</f>
        <v>254</v>
      </c>
      <c r="E15" s="166" t="s">
        <v>79</v>
      </c>
      <c r="F15" s="161" t="s">
        <v>289</v>
      </c>
      <c r="G15" s="234">
        <f>5+22+3</f>
        <v>30</v>
      </c>
      <c r="H15" s="234">
        <f>1542+15327</f>
        <v>16869</v>
      </c>
    </row>
    <row r="16" spans="1:8" ht="15.75">
      <c r="A16" s="116" t="s">
        <v>290</v>
      </c>
      <c r="B16" s="112" t="s">
        <v>291</v>
      </c>
      <c r="C16" s="234">
        <f>6+50+2</f>
        <v>58</v>
      </c>
      <c r="D16" s="234">
        <f>2+39+6</f>
        <v>47</v>
      </c>
      <c r="E16" s="157" t="s">
        <v>52</v>
      </c>
      <c r="F16" s="185" t="s">
        <v>292</v>
      </c>
      <c r="G16" s="363">
        <f>SUM(G12:G15)</f>
        <v>3145</v>
      </c>
      <c r="H16" s="364">
        <f>SUM(H12:H15)</f>
        <v>21960</v>
      </c>
    </row>
    <row r="17" spans="1:8" ht="31.5">
      <c r="A17" s="116" t="s">
        <v>293</v>
      </c>
      <c r="B17" s="112" t="s">
        <v>294</v>
      </c>
      <c r="C17" s="234">
        <f>1389+16</f>
        <v>1405</v>
      </c>
      <c r="D17" s="234">
        <f>169+4694</f>
        <v>4863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207</v>
      </c>
      <c r="D18" s="234">
        <v>150</v>
      </c>
      <c r="E18" s="155" t="s">
        <v>297</v>
      </c>
      <c r="F18" s="159" t="s">
        <v>298</v>
      </c>
      <c r="G18" s="374"/>
      <c r="H18" s="375"/>
    </row>
    <row r="19" spans="1:8" ht="15.75">
      <c r="A19" s="116" t="s">
        <v>299</v>
      </c>
      <c r="B19" s="112" t="s">
        <v>300</v>
      </c>
      <c r="C19" s="234">
        <f>908+23</f>
        <v>931</v>
      </c>
      <c r="D19" s="234">
        <f>1153+7132-12</f>
        <v>8273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>
        <v>4811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3782</v>
      </c>
      <c r="D22" s="364">
        <f>SUM(D12:D18)+D19</f>
        <v>14995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5"/>
    </row>
    <row r="25" spans="1:8" ht="31.5">
      <c r="A25" s="116" t="s">
        <v>316</v>
      </c>
      <c r="B25" s="158" t="s">
        <v>317</v>
      </c>
      <c r="C25" s="234">
        <f>1115+1</f>
        <v>1116</v>
      </c>
      <c r="D25" s="234">
        <f>147+6428</f>
        <v>6575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v>1</v>
      </c>
      <c r="D27" s="234"/>
      <c r="E27" s="157" t="s">
        <v>104</v>
      </c>
      <c r="F27" s="159" t="s">
        <v>326</v>
      </c>
      <c r="G27" s="363">
        <f>SUM(G22:G26)</f>
        <v>0</v>
      </c>
      <c r="H27" s="364">
        <f>SUM(H22:H26)</f>
        <v>0</v>
      </c>
    </row>
    <row r="28" spans="1:8" ht="15.75">
      <c r="A28" s="116" t="s">
        <v>79</v>
      </c>
      <c r="B28" s="158" t="s">
        <v>327</v>
      </c>
      <c r="C28" s="234">
        <v>8</v>
      </c>
      <c r="D28" s="234">
        <v>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1125</v>
      </c>
      <c r="D29" s="364">
        <f>SUM(D25:D28)</f>
        <v>6583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4907</v>
      </c>
      <c r="D31" s="370">
        <f>D29+D22</f>
        <v>21578</v>
      </c>
      <c r="E31" s="172" t="s">
        <v>521</v>
      </c>
      <c r="F31" s="187" t="s">
        <v>331</v>
      </c>
      <c r="G31" s="174">
        <f>G16+G18+G27</f>
        <v>3145</v>
      </c>
      <c r="H31" s="175">
        <f>H16+H18+H27</f>
        <v>21960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382</v>
      </c>
      <c r="E33" s="154" t="s">
        <v>334</v>
      </c>
      <c r="F33" s="159" t="s">
        <v>335</v>
      </c>
      <c r="G33" s="363">
        <f>IF((C31-G31)&gt;0,C31-G31,0)</f>
        <v>1762</v>
      </c>
      <c r="H33" s="364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1">
        <f>C31-C34+C35</f>
        <v>4907</v>
      </c>
      <c r="D36" s="372">
        <f>D31-D34+D35</f>
        <v>21578</v>
      </c>
      <c r="E36" s="183" t="s">
        <v>346</v>
      </c>
      <c r="F36" s="177" t="s">
        <v>347</v>
      </c>
      <c r="G36" s="188">
        <f>G35-G34+G31</f>
        <v>3145</v>
      </c>
      <c r="H36" s="189">
        <f>H35-H34+H31</f>
        <v>21960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382</v>
      </c>
      <c r="E37" s="182" t="s">
        <v>350</v>
      </c>
      <c r="F37" s="187" t="s">
        <v>351</v>
      </c>
      <c r="G37" s="174">
        <f>IF((C36-G36)&gt;0,C36-G36,0)</f>
        <v>1762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39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4">
        <v>39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343</v>
      </c>
      <c r="E42" s="168" t="s">
        <v>362</v>
      </c>
      <c r="F42" s="117" t="s">
        <v>363</v>
      </c>
      <c r="G42" s="162">
        <f>IF(G37&gt;0,IF(C38+G37&lt;0,0,C38+G37),IF(C37-C38&lt;0,C38-C37,0))</f>
        <v>1762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343</v>
      </c>
      <c r="E44" s="183" t="s">
        <v>369</v>
      </c>
      <c r="F44" s="190" t="s">
        <v>370</v>
      </c>
      <c r="G44" s="188">
        <f>IF(C42=0,IF(G42-G43&gt;0,G42-G43+C43,0),IF(C42-C43&lt;0,C43-C42+G43,0))</f>
        <v>1762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5">
        <f>C36+C38+C42</f>
        <v>4907</v>
      </c>
      <c r="D45" s="366">
        <f>D36+D38+D42</f>
        <v>21960</v>
      </c>
      <c r="E45" s="191" t="s">
        <v>373</v>
      </c>
      <c r="F45" s="193" t="s">
        <v>374</v>
      </c>
      <c r="G45" s="365">
        <f>G42+G36</f>
        <v>4907</v>
      </c>
      <c r="H45" s="366">
        <f>H42+H36</f>
        <v>21960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>
        <f>pdeReportingDate</f>
        <v>43523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 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31.12.2018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30+1745+5</f>
        <v>1780</v>
      </c>
      <c r="D11" s="119">
        <f>4+1559+23</f>
        <v>1586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-1081-1</f>
        <v>-1082</v>
      </c>
      <c r="D12" s="119">
        <v>-1090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-1-351-8</f>
        <v>-360</v>
      </c>
      <c r="D14" s="119">
        <f>-10-442</f>
        <v>-452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-41-56</f>
        <v>-97</v>
      </c>
      <c r="D15" s="119">
        <v>-3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-75</v>
      </c>
      <c r="D20" s="119">
        <f>-232-42</f>
        <v>-274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166</v>
      </c>
      <c r="D21" s="394">
        <f>SUM(D11:D20)</f>
        <v>-239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</v>
      </c>
      <c r="D23" s="119">
        <v>-1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-3</v>
      </c>
      <c r="D33" s="394">
        <f>SUM(D23:D32)</f>
        <v>-1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0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163</v>
      </c>
      <c r="D44" s="226">
        <f>D43+D33+D21</f>
        <v>-240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f>14+154+4</f>
        <v>172</v>
      </c>
      <c r="D45" s="227">
        <f>10+368+34</f>
        <v>412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335</v>
      </c>
      <c r="D46" s="229">
        <f>D45+D44</f>
        <v>172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333</v>
      </c>
      <c r="D47" s="217">
        <f>4+140</f>
        <v>144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/>
      <c r="D48" s="201">
        <f>14+14</f>
        <v>28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43523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 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6011</v>
      </c>
      <c r="D13" s="319">
        <f>'1-Баланс'!H20</f>
        <v>7651</v>
      </c>
      <c r="E13" s="319">
        <f>'1-Баланс'!H21</f>
        <v>5963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9769</v>
      </c>
      <c r="J13" s="319">
        <f>'1-Баланс'!H30+'1-Баланс'!H33</f>
        <v>-25229</v>
      </c>
      <c r="K13" s="320"/>
      <c r="L13" s="319">
        <f>SUM(C13:K13)</f>
        <v>4166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6011</v>
      </c>
      <c r="D17" s="388">
        <f aca="true" t="shared" si="2" ref="D17:M17">D13+D14</f>
        <v>7651</v>
      </c>
      <c r="E17" s="388">
        <f t="shared" si="2"/>
        <v>5963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9769</v>
      </c>
      <c r="J17" s="388">
        <f t="shared" si="2"/>
        <v>-25229</v>
      </c>
      <c r="K17" s="388">
        <f t="shared" si="2"/>
        <v>0</v>
      </c>
      <c r="L17" s="319">
        <f t="shared" si="1"/>
        <v>4166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-1762</v>
      </c>
      <c r="K18" s="320"/>
      <c r="L18" s="319">
        <f t="shared" si="1"/>
        <v>-1762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9">
        <f t="shared" si="1"/>
        <v>0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6011</v>
      </c>
      <c r="D31" s="388">
        <f aca="true" t="shared" si="6" ref="D31:M31">D19+D22+D23+D26+D30+D29+D17+D18</f>
        <v>7651</v>
      </c>
      <c r="E31" s="388">
        <f t="shared" si="6"/>
        <v>5963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9769</v>
      </c>
      <c r="J31" s="388">
        <f t="shared" si="6"/>
        <v>-26991</v>
      </c>
      <c r="K31" s="388">
        <f t="shared" si="6"/>
        <v>0</v>
      </c>
      <c r="L31" s="319">
        <f t="shared" si="1"/>
        <v>2404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6011</v>
      </c>
      <c r="D34" s="322">
        <f t="shared" si="7"/>
        <v>7651</v>
      </c>
      <c r="E34" s="322">
        <f t="shared" si="7"/>
        <v>5963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9769</v>
      </c>
      <c r="J34" s="322">
        <f t="shared" si="7"/>
        <v>-26991</v>
      </c>
      <c r="K34" s="322">
        <f t="shared" si="7"/>
        <v>0</v>
      </c>
      <c r="L34" s="386">
        <f t="shared" si="1"/>
        <v>2404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>
        <f>pdeReportingDate</f>
        <v>43523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 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01.01.2018 г. до 31.12.2018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45905</v>
      </c>
      <c r="D6" s="410">
        <f aca="true" t="shared" si="0" ref="D6:D15">C6-E6</f>
        <v>0</v>
      </c>
      <c r="E6" s="409">
        <f>'1-Баланс'!G95</f>
        <v>45905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2404</v>
      </c>
      <c r="D7" s="410">
        <f t="shared" si="0"/>
        <v>-3607</v>
      </c>
      <c r="E7" s="409">
        <f>'1-Баланс'!G18</f>
        <v>6011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-1762</v>
      </c>
      <c r="D8" s="410">
        <f t="shared" si="0"/>
        <v>0</v>
      </c>
      <c r="E8" s="409">
        <f>ABS('2-Отчет за доходите'!C44)-ABS('2-Отчет за доходите'!G44)</f>
        <v>-1762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172</v>
      </c>
      <c r="D9" s="410">
        <f t="shared" si="0"/>
        <v>0</v>
      </c>
      <c r="E9" s="409">
        <f>'3-Отчет за паричния поток'!C45</f>
        <v>172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335</v>
      </c>
      <c r="D10" s="410">
        <f t="shared" si="0"/>
        <v>0</v>
      </c>
      <c r="E10" s="409">
        <f>'3-Отчет за паричния поток'!C46</f>
        <v>335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2404</v>
      </c>
      <c r="D11" s="410">
        <f t="shared" si="0"/>
        <v>0</v>
      </c>
      <c r="E11" s="409">
        <f>'4-Отчет за собствения капитал'!L34</f>
        <v>2404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-0.5602543720190779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-0.7329450915141431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-0.04050481598124181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-0.03838361834222852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0.6409211330751987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0.2885488211431096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0.2138008595413102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0.013455436397959594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0.013455436397959594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0.07840351008401267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0.06851105544058382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0.8855674028941356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18.095257903494176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0.9476309770177541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1116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0.46422628951747086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0.3834658187599364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36.07048092868988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5873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324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100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13390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25310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38721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725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360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328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1413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3677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139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1137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4988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317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16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335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448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7184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45905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5963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13615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-15460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9769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-25229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-1762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-17222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2404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16075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2529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18604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18604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5372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7511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139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1638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4331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140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340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923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12014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24897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24897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45905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374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423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90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294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58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1405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207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931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3782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1116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8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1125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4907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4907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4907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351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1394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1370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30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3145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3145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1762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3145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1762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1762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1762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4907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1780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-1082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-360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-97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-75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166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-3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-3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0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>
        <f t="shared" si="20"/>
        <v>43465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163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>
        <f t="shared" si="20"/>
        <v>43465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172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>
        <f t="shared" si="20"/>
        <v>43465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335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>
        <f t="shared" si="20"/>
        <v>43465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333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>
        <f t="shared" si="20"/>
        <v>43465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0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>
        <f aca="true" t="shared" si="23" ref="C218:C281">endDate</f>
        <v>43465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>
        <f t="shared" si="23"/>
        <v>43465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>
        <f t="shared" si="23"/>
        <v>43465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>
        <f t="shared" si="23"/>
        <v>43465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>
        <f t="shared" si="23"/>
        <v>43465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>
        <f t="shared" si="23"/>
        <v>43465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>
        <f t="shared" si="23"/>
        <v>43465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>
        <f t="shared" si="23"/>
        <v>43465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>
        <f t="shared" si="23"/>
        <v>43465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>
        <f t="shared" si="23"/>
        <v>43465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>
        <f t="shared" si="23"/>
        <v>43465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>
        <f t="shared" si="23"/>
        <v>43465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>
        <f t="shared" si="23"/>
        <v>43465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>
        <f t="shared" si="23"/>
        <v>43465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>
        <f t="shared" si="23"/>
        <v>43465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>
        <f t="shared" si="23"/>
        <v>43465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>
        <f t="shared" si="23"/>
        <v>43465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>
        <f t="shared" si="23"/>
        <v>43465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>
        <f t="shared" si="23"/>
        <v>43465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>
        <f t="shared" si="23"/>
        <v>43465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>
        <f t="shared" si="23"/>
        <v>43465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>
        <f t="shared" si="23"/>
        <v>43465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>
        <f t="shared" si="23"/>
        <v>43465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>
        <f t="shared" si="23"/>
        <v>43465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>
        <f t="shared" si="23"/>
        <v>43465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>
        <f t="shared" si="23"/>
        <v>43465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>
        <f t="shared" si="23"/>
        <v>43465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>
        <f t="shared" si="23"/>
        <v>43465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>
        <f t="shared" si="23"/>
        <v>43465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>
        <f t="shared" si="23"/>
        <v>43465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>
        <f t="shared" si="23"/>
        <v>43465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>
        <f t="shared" si="23"/>
        <v>43465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>
        <f t="shared" si="23"/>
        <v>43465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>
        <f t="shared" si="23"/>
        <v>43465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>
        <f t="shared" si="23"/>
        <v>43465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>
        <f t="shared" si="23"/>
        <v>43465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>
        <f t="shared" si="23"/>
        <v>43465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>
        <f t="shared" si="23"/>
        <v>43465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>
        <f t="shared" si="23"/>
        <v>43465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>
        <f t="shared" si="23"/>
        <v>43465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>
        <f t="shared" si="23"/>
        <v>43465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>
        <f t="shared" si="23"/>
        <v>43465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>
        <f t="shared" si="23"/>
        <v>43465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>
        <f t="shared" si="23"/>
        <v>43465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>
        <f t="shared" si="23"/>
        <v>43465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5963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>
        <f t="shared" si="23"/>
        <v>43465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>
        <f t="shared" si="23"/>
        <v>43465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>
        <f t="shared" si="23"/>
        <v>43465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>
        <f t="shared" si="23"/>
        <v>43465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5963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>
        <f t="shared" si="23"/>
        <v>43465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>
        <f t="shared" si="23"/>
        <v>43465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>
        <f t="shared" si="23"/>
        <v>43465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>
        <f t="shared" si="23"/>
        <v>43465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>
        <f t="shared" si="23"/>
        <v>43465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>
        <f t="shared" si="23"/>
        <v>43465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>
        <f t="shared" si="23"/>
        <v>43465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>
        <f t="shared" si="23"/>
        <v>43465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>
        <f t="shared" si="23"/>
        <v>43465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>
        <f t="shared" si="23"/>
        <v>43465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>
        <f t="shared" si="23"/>
        <v>43465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>
        <f t="shared" si="23"/>
        <v>43465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>
        <f t="shared" si="23"/>
        <v>43465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>
        <f t="shared" si="23"/>
        <v>43465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5963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>
        <f t="shared" si="23"/>
        <v>43465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>
        <f aca="true" t="shared" si="26" ref="C282:C345">endDate</f>
        <v>43465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>
        <f t="shared" si="26"/>
        <v>43465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5963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>
        <f t="shared" si="26"/>
        <v>43465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>
        <f t="shared" si="26"/>
        <v>43465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>
        <f t="shared" si="26"/>
        <v>43465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>
        <f t="shared" si="26"/>
        <v>43465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>
        <f t="shared" si="26"/>
        <v>43465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>
        <f t="shared" si="26"/>
        <v>43465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>
        <f t="shared" si="26"/>
        <v>43465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>
        <f t="shared" si="26"/>
        <v>43465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>
        <f t="shared" si="26"/>
        <v>43465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>
        <f t="shared" si="26"/>
        <v>43465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>
        <f t="shared" si="26"/>
        <v>43465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>
        <f t="shared" si="26"/>
        <v>43465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>
        <f t="shared" si="26"/>
        <v>43465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>
        <f t="shared" si="26"/>
        <v>43465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>
        <f t="shared" si="26"/>
        <v>43465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>
        <f t="shared" si="26"/>
        <v>43465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>
        <f t="shared" si="26"/>
        <v>43465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>
        <f t="shared" si="26"/>
        <v>43465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>
        <f t="shared" si="26"/>
        <v>43465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>
        <f t="shared" si="26"/>
        <v>43465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>
        <f t="shared" si="26"/>
        <v>43465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>
        <f t="shared" si="26"/>
        <v>43465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>
        <f t="shared" si="26"/>
        <v>43465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>
        <f t="shared" si="26"/>
        <v>43465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>
        <f t="shared" si="26"/>
        <v>43465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>
        <f t="shared" si="26"/>
        <v>43465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>
        <f t="shared" si="26"/>
        <v>43465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>
        <f t="shared" si="26"/>
        <v>43465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>
        <f t="shared" si="26"/>
        <v>43465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>
        <f t="shared" si="26"/>
        <v>43465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>
        <f t="shared" si="26"/>
        <v>43465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>
        <f t="shared" si="26"/>
        <v>43465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>
        <f t="shared" si="26"/>
        <v>43465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>
        <f t="shared" si="26"/>
        <v>43465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>
        <f t="shared" si="26"/>
        <v>43465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>
        <f t="shared" si="26"/>
        <v>43465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>
        <f t="shared" si="26"/>
        <v>43465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>
        <f t="shared" si="26"/>
        <v>43465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>
        <f t="shared" si="26"/>
        <v>43465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>
        <f t="shared" si="26"/>
        <v>43465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>
        <f t="shared" si="26"/>
        <v>43465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>
        <f t="shared" si="26"/>
        <v>43465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>
        <f t="shared" si="26"/>
        <v>43465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>
        <f t="shared" si="26"/>
        <v>43465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>
        <f t="shared" si="26"/>
        <v>43465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>
        <f t="shared" si="26"/>
        <v>43465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>
        <f t="shared" si="26"/>
        <v>43465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>
        <f t="shared" si="26"/>
        <v>43465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>
        <f t="shared" si="26"/>
        <v>43465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>
        <f t="shared" si="26"/>
        <v>43465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>
        <f t="shared" si="26"/>
        <v>43465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>
        <f t="shared" si="26"/>
        <v>43465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>
        <f t="shared" si="26"/>
        <v>43465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>
        <f t="shared" si="26"/>
        <v>43465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>
        <f t="shared" si="26"/>
        <v>43465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>
        <f t="shared" si="26"/>
        <v>43465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>
        <f t="shared" si="26"/>
        <v>43465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>
        <f t="shared" si="26"/>
        <v>43465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>
        <f t="shared" si="26"/>
        <v>43465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>
        <f t="shared" si="26"/>
        <v>43465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>
        <f t="shared" si="26"/>
        <v>43465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>
        <f t="shared" si="26"/>
        <v>43465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>
        <f aca="true" t="shared" si="29" ref="C346:C409">endDate</f>
        <v>43465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>
        <f t="shared" si="29"/>
        <v>43465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>
        <f t="shared" si="29"/>
        <v>43465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>
        <f t="shared" si="29"/>
        <v>43465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>
        <f t="shared" si="29"/>
        <v>43465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9769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>
        <f t="shared" si="29"/>
        <v>43465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>
        <f t="shared" si="29"/>
        <v>43465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>
        <f t="shared" si="29"/>
        <v>43465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>
        <f t="shared" si="29"/>
        <v>43465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9769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>
        <f t="shared" si="29"/>
        <v>43465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>
        <f t="shared" si="29"/>
        <v>43465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>
        <f t="shared" si="29"/>
        <v>43465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>
        <f t="shared" si="29"/>
        <v>43465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>
        <f t="shared" si="29"/>
        <v>43465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>
        <f t="shared" si="29"/>
        <v>43465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>
        <f t="shared" si="29"/>
        <v>43465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>
        <f t="shared" si="29"/>
        <v>43465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>
        <f t="shared" si="29"/>
        <v>43465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>
        <f t="shared" si="29"/>
        <v>43465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>
        <f t="shared" si="29"/>
        <v>43465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>
        <f t="shared" si="29"/>
        <v>43465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>
        <f t="shared" si="29"/>
        <v>43465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>
        <f t="shared" si="29"/>
        <v>43465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9769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>
        <f t="shared" si="29"/>
        <v>43465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>
        <f t="shared" si="29"/>
        <v>43465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>
        <f t="shared" si="29"/>
        <v>43465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9769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>
        <f t="shared" si="29"/>
        <v>43465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-25229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>
        <f t="shared" si="29"/>
        <v>43465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>
        <f t="shared" si="29"/>
        <v>43465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>
        <f t="shared" si="29"/>
        <v>43465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>
        <f t="shared" si="29"/>
        <v>43465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-25229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>
        <f t="shared" si="29"/>
        <v>43465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-1762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>
        <f t="shared" si="29"/>
        <v>43465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>
        <f t="shared" si="29"/>
        <v>43465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>
        <f t="shared" si="29"/>
        <v>43465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>
        <f t="shared" si="29"/>
        <v>43465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>
        <f t="shared" si="29"/>
        <v>43465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>
        <f t="shared" si="29"/>
        <v>43465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>
        <f t="shared" si="29"/>
        <v>43465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>
        <f t="shared" si="29"/>
        <v>43465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>
        <f t="shared" si="29"/>
        <v>43465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>
        <f t="shared" si="29"/>
        <v>43465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>
        <f t="shared" si="29"/>
        <v>43465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>
        <f t="shared" si="29"/>
        <v>43465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>
        <f t="shared" si="29"/>
        <v>43465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-26991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>
        <f t="shared" si="29"/>
        <v>43465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>
        <f t="shared" si="29"/>
        <v>43465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>
        <f t="shared" si="29"/>
        <v>43465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-26991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>
        <f t="shared" si="29"/>
        <v>43465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>
        <f t="shared" si="29"/>
        <v>43465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>
        <f t="shared" si="29"/>
        <v>43465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>
        <f t="shared" si="29"/>
        <v>43465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>
        <f t="shared" si="29"/>
        <v>43465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>
        <f t="shared" si="29"/>
        <v>43465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>
        <f t="shared" si="29"/>
        <v>43465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>
        <f t="shared" si="29"/>
        <v>43465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>
        <f t="shared" si="29"/>
        <v>43465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>
        <f t="shared" si="29"/>
        <v>43465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>
        <f t="shared" si="29"/>
        <v>43465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>
        <f t="shared" si="29"/>
        <v>43465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>
        <f t="shared" si="29"/>
        <v>43465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>
        <f t="shared" si="29"/>
        <v>43465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>
        <f t="shared" si="29"/>
        <v>43465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>
        <f t="shared" si="29"/>
        <v>43465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>
        <f aca="true" t="shared" si="32" ref="C410:C459">endDate</f>
        <v>43465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>
        <f t="shared" si="32"/>
        <v>43465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>
        <f t="shared" si="32"/>
        <v>43465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>
        <f t="shared" si="32"/>
        <v>43465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>
        <f t="shared" si="32"/>
        <v>43465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>
        <f t="shared" si="32"/>
        <v>43465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>
        <f t="shared" si="32"/>
        <v>43465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4166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>
        <f t="shared" si="32"/>
        <v>43465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>
        <f t="shared" si="32"/>
        <v>43465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>
        <f t="shared" si="32"/>
        <v>43465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>
        <f t="shared" si="32"/>
        <v>43465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4166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>
        <f t="shared" si="32"/>
        <v>43465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-1762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>
        <f t="shared" si="32"/>
        <v>43465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>
        <f t="shared" si="32"/>
        <v>43465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>
        <f t="shared" si="32"/>
        <v>43465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>
        <f t="shared" si="32"/>
        <v>43465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>
        <f t="shared" si="32"/>
        <v>43465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>
        <f t="shared" si="32"/>
        <v>43465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>
        <f t="shared" si="32"/>
        <v>43465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>
        <f t="shared" si="32"/>
        <v>43465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>
        <f t="shared" si="32"/>
        <v>43465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>
        <f t="shared" si="32"/>
        <v>43465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>
        <f t="shared" si="32"/>
        <v>43465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>
        <f t="shared" si="32"/>
        <v>43465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>
        <f t="shared" si="32"/>
        <v>43465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2404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>
        <f t="shared" si="32"/>
        <v>43465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>
        <f t="shared" si="32"/>
        <v>43465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>
        <f t="shared" si="32"/>
        <v>43465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2404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>
        <f t="shared" si="32"/>
        <v>43465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>
        <f t="shared" si="32"/>
        <v>43465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>
        <f t="shared" si="32"/>
        <v>43465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>
        <f t="shared" si="32"/>
        <v>43465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>
        <f t="shared" si="32"/>
        <v>43465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>
        <f t="shared" si="32"/>
        <v>43465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>
        <f t="shared" si="32"/>
        <v>43465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>
        <f t="shared" si="32"/>
        <v>43465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>
        <f t="shared" si="32"/>
        <v>43465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>
        <f t="shared" si="32"/>
        <v>43465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>
        <f t="shared" si="32"/>
        <v>43465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>
        <f t="shared" si="32"/>
        <v>43465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>
        <f t="shared" si="32"/>
        <v>43465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>
        <f t="shared" si="32"/>
        <v>43465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>
        <f t="shared" si="32"/>
        <v>43465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>
        <f t="shared" si="32"/>
        <v>43465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>
        <f t="shared" si="32"/>
        <v>43465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>
        <f t="shared" si="32"/>
        <v>43465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>
        <f t="shared" si="32"/>
        <v>43465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>
        <f t="shared" si="32"/>
        <v>43465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>
        <f t="shared" si="32"/>
        <v>43465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>
        <f t="shared" si="32"/>
        <v>43465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2019-02-28T10:59:33Z</cp:lastPrinted>
  <dcterms:created xsi:type="dcterms:W3CDTF">2006-09-16T00:00:00Z</dcterms:created>
  <dcterms:modified xsi:type="dcterms:W3CDTF">2019-03-01T10:24:43Z</dcterms:modified>
  <cp:category/>
  <cp:version/>
  <cp:contentType/>
  <cp:contentStatus/>
</cp:coreProperties>
</file>